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4955" windowHeight="12495" activeTab="0"/>
  </bookViews>
  <sheets>
    <sheet name="理想体型目安計算機" sheetId="1" r:id="rId1"/>
  </sheets>
  <definedNames>
    <definedName name="Height">'理想体型目安計算機'!$C$2</definedName>
    <definedName name="hukurahagi_1">'理想体型目安計算機'!$C$11</definedName>
    <definedName name="hukurahagi_2">'理想体型目安計算機'!$E$11</definedName>
  </definedNames>
  <calcPr fullCalcOnLoad="1"/>
</workbook>
</file>

<file path=xl/sharedStrings.xml><?xml version="1.0" encoding="utf-8"?>
<sst xmlns="http://schemas.openxmlformats.org/spreadsheetml/2006/main" count="117" uniqueCount="74">
  <si>
    <t>・身長</t>
  </si>
  <si>
    <t xml:space="preserve">㎝ </t>
  </si>
  <si>
    <t xml:space="preserve">・トップバスト </t>
  </si>
  <si>
    <t xml:space="preserve">～ </t>
  </si>
  <si>
    <t xml:space="preserve">㎝ </t>
  </si>
  <si>
    <t>= 身長(㎝)×0.515～0.530</t>
  </si>
  <si>
    <t>カップ</t>
  </si>
  <si>
    <t>バスト(㎝)</t>
  </si>
  <si>
    <t>美容体重(㎏）</t>
  </si>
  <si>
    <t>両胸の重さ(ｇ）</t>
  </si>
  <si>
    <t xml:space="preserve">・アンダーバスト </t>
  </si>
  <si>
    <t xml:space="preserve">㎝ </t>
  </si>
  <si>
    <t>= 身長(㎝)×0.432</t>
  </si>
  <si>
    <t>AAA</t>
  </si>
  <si>
    <t>～</t>
  </si>
  <si>
    <t xml:space="preserve">・ウェスト </t>
  </si>
  <si>
    <t>= 身長(㎝)×0.370～0.390</t>
  </si>
  <si>
    <t>AA</t>
  </si>
  <si>
    <t xml:space="preserve">・ヒップ </t>
  </si>
  <si>
    <t>= 身長(㎝)×0.530～0.542</t>
  </si>
  <si>
    <t>A</t>
  </si>
  <si>
    <t xml:space="preserve">・カップ </t>
  </si>
  <si>
    <t xml:space="preserve">カップ </t>
  </si>
  <si>
    <t>B</t>
  </si>
  <si>
    <t>= トップバスト(㎝)-アンダーバスト(㎝)</t>
  </si>
  <si>
    <t>C</t>
  </si>
  <si>
    <t xml:space="preserve">・二の腕 </t>
  </si>
  <si>
    <t>= 身長(㎝)×0.145～0.160</t>
  </si>
  <si>
    <t>D</t>
  </si>
  <si>
    <t xml:space="preserve">・ふともも </t>
  </si>
  <si>
    <t>= 身長(㎝)×0.290～0.310</t>
  </si>
  <si>
    <t>E</t>
  </si>
  <si>
    <t xml:space="preserve">・ふくらはぎ </t>
  </si>
  <si>
    <t>= 身長(㎝)×0.200～0.210</t>
  </si>
  <si>
    <t>F</t>
  </si>
  <si>
    <t xml:space="preserve">・足首 </t>
  </si>
  <si>
    <t>= 身長(㎝)×0.120</t>
  </si>
  <si>
    <t>G</t>
  </si>
  <si>
    <t xml:space="preserve">　 </t>
  </si>
  <si>
    <t>= ふくらはぎ(㎝)×0.590</t>
  </si>
  <si>
    <t>H</t>
  </si>
  <si>
    <t xml:space="preserve">・美容体重 </t>
  </si>
  <si>
    <t xml:space="preserve">㎏ </t>
  </si>
  <si>
    <t>=身長(ｍ)×身長(ｍ)×19.0～19.5</t>
  </si>
  <si>
    <t>I</t>
  </si>
  <si>
    <t xml:space="preserve">・標準体重 </t>
  </si>
  <si>
    <t xml:space="preserve">㎏ </t>
  </si>
  <si>
    <t>=身長(ｍ)×身長(ｍ)×22　(ＢＭＩ方式）</t>
  </si>
  <si>
    <t>J</t>
  </si>
  <si>
    <t xml:space="preserve">・標準体重(小学生) </t>
  </si>
  <si>
    <t>=身長(ｍ)×身長(ｍ)×身長(ｍ)×13</t>
  </si>
  <si>
    <t>K</t>
  </si>
  <si>
    <t>トップ-アンダー(㎝)</t>
  </si>
  <si>
    <t>　</t>
  </si>
  <si>
    <t>また、プログラムの仕様改良に関する義務も負いません。</t>
  </si>
  <si>
    <t>本ツールを使用して発生したいかなる損害も作者は一切の責任を負いません。</t>
  </si>
  <si>
    <t>■連絡先</t>
  </si>
  <si>
    <t>■著作権・免責事項など</t>
  </si>
  <si>
    <t>http://yuki.yukihotaru.com/</t>
  </si>
  <si>
    <t>koharunosuke@gmail.com</t>
  </si>
  <si>
    <t>本プログラムに対するご意見、ご要望、バグ報告などは、</t>
  </si>
  <si>
    <t>URL</t>
  </si>
  <si>
    <t>E-mail</t>
  </si>
  <si>
    <t>作：枯介</t>
  </si>
  <si>
    <t>■使用方法</t>
  </si>
  <si>
    <t>身長を入力することにより理想体型の各サイズを自動的に計算し結果を表示します。</t>
  </si>
  <si>
    <t>理想体型目安計算機(Exｃel)はフリーソフトウェアです。著作権は枯介にあります。</t>
  </si>
  <si>
    <t>最終更新日</t>
  </si>
  <si>
    <t>更新履歴</t>
  </si>
  <si>
    <t>公開</t>
  </si>
  <si>
    <t>Ver.1.0</t>
  </si>
  <si>
    <t>Ver.1.01</t>
  </si>
  <si>
    <t>バストのカップ数が実際より1.25㎝小さいカップ数になっていたのを修正。</t>
  </si>
  <si>
    <t>理想体型目安計算機(Ｅｘcｅｌ)  ver.1.01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</si>
</sst>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_);[Red]\(0.0\)"/>
  </numFmts>
  <fonts count="13">
    <font>
      <sz val="11"/>
      <name val="ＭＳ Ｐゴシック"/>
      <family val="0"/>
    </font>
    <font>
      <sz val="6"/>
      <name val="ＭＳ Ｐゴシック"/>
      <family val="3"/>
    </font>
    <font>
      <b/>
      <sz val="9"/>
      <name val="ＭＳ Ｐゴシック"/>
      <family val="3"/>
    </font>
    <font>
      <b/>
      <sz val="12"/>
      <name val="ＭＳ Ｐゴシック"/>
      <family val="3"/>
    </font>
    <font>
      <sz val="9"/>
      <name val="ＭＳ Ｐゴシック"/>
      <family val="3"/>
    </font>
    <font>
      <b/>
      <sz val="11"/>
      <name val="ＭＳ Ｐゴシック"/>
      <family val="0"/>
    </font>
    <font>
      <sz val="8"/>
      <color indexed="23"/>
      <name val="ＭＳ Ｐゴシック"/>
      <family val="3"/>
    </font>
    <font>
      <sz val="8"/>
      <name val="ＭＳ Ｐゴシック"/>
      <family val="3"/>
    </font>
    <font>
      <sz val="9"/>
      <color indexed="23"/>
      <name val="ＭＳ Ｐゴシック"/>
      <family val="3"/>
    </font>
    <font>
      <b/>
      <sz val="11"/>
      <color indexed="10"/>
      <name val="ＭＳ Ｐゴシック"/>
      <family val="3"/>
    </font>
    <font>
      <sz val="10"/>
      <name val="ＭＳ Ｐゴシック"/>
      <family val="3"/>
    </font>
    <font>
      <u val="single"/>
      <sz val="11"/>
      <color indexed="12"/>
      <name val="ＭＳ Ｐゴシック"/>
      <family val="3"/>
    </font>
    <font>
      <u val="single"/>
      <sz val="9"/>
      <color indexed="12"/>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2">
    <border>
      <left/>
      <right/>
      <top/>
      <bottom/>
      <diagonal/>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style="medium"/>
      <bottom style="medium"/>
    </border>
    <border>
      <left style="thin"/>
      <right style="medium"/>
      <top style="medium"/>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color indexed="63"/>
      </top>
      <bottom style="thin"/>
    </border>
    <border>
      <left>
        <color indexed="63"/>
      </left>
      <right>
        <color indexed="63"/>
      </right>
      <top>
        <color indexed="63"/>
      </top>
      <bottom style="thin"/>
    </border>
    <border>
      <left>
        <color indexed="63"/>
      </left>
      <right style="thin"/>
      <top style="medium"/>
      <bottom style="thin"/>
    </border>
    <border>
      <left style="thin"/>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color indexed="63"/>
      </left>
      <right style="thin"/>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9">
    <xf numFmtId="0" fontId="0" fillId="0" borderId="0" xfId="0" applyAlignment="1">
      <alignment/>
    </xf>
    <xf numFmtId="0" fontId="0" fillId="0" borderId="0" xfId="0" applyAlignment="1">
      <alignment horizontal="center"/>
    </xf>
    <xf numFmtId="0" fontId="2" fillId="0" borderId="1" xfId="0" applyFont="1" applyBorder="1" applyAlignment="1">
      <alignment/>
    </xf>
    <xf numFmtId="0" fontId="0" fillId="0" borderId="0" xfId="0" applyBorder="1" applyAlignment="1">
      <alignment/>
    </xf>
    <xf numFmtId="0" fontId="4" fillId="2" borderId="2" xfId="0" applyFont="1" applyFill="1" applyBorder="1" applyAlignment="1">
      <alignment/>
    </xf>
    <xf numFmtId="177" fontId="4" fillId="2" borderId="3" xfId="0" applyNumberFormat="1" applyFont="1" applyFill="1" applyBorder="1" applyAlignment="1">
      <alignment horizontal="center"/>
    </xf>
    <xf numFmtId="0" fontId="4" fillId="2" borderId="3" xfId="0" applyFont="1" applyFill="1" applyBorder="1" applyAlignment="1">
      <alignment/>
    </xf>
    <xf numFmtId="49" fontId="6" fillId="2" borderId="4" xfId="0" applyNumberFormat="1" applyFont="1" applyFill="1" applyBorder="1" applyAlignment="1">
      <alignment/>
    </xf>
    <xf numFmtId="0" fontId="4" fillId="0" borderId="0" xfId="0" applyFont="1" applyAlignment="1">
      <alignment/>
    </xf>
    <xf numFmtId="0" fontId="7" fillId="0" borderId="1" xfId="0" applyFont="1" applyBorder="1" applyAlignment="1">
      <alignment/>
    </xf>
    <xf numFmtId="0" fontId="7" fillId="0" borderId="5" xfId="0" applyFont="1" applyBorder="1" applyAlignment="1">
      <alignment horizontal="left"/>
    </xf>
    <xf numFmtId="0" fontId="7" fillId="0" borderId="6" xfId="0" applyFont="1" applyBorder="1"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4" fillId="2" borderId="7" xfId="0" applyFont="1" applyFill="1" applyBorder="1" applyAlignment="1">
      <alignment/>
    </xf>
    <xf numFmtId="177" fontId="5" fillId="2" borderId="8" xfId="0" applyNumberFormat="1" applyFont="1" applyFill="1" applyBorder="1" applyAlignment="1">
      <alignment horizontal="right"/>
    </xf>
    <xf numFmtId="177" fontId="4" fillId="2" borderId="9" xfId="0" applyNumberFormat="1" applyFont="1" applyFill="1" applyBorder="1" applyAlignment="1">
      <alignment/>
    </xf>
    <xf numFmtId="177" fontId="5" fillId="2" borderId="9" xfId="0" applyNumberFormat="1" applyFont="1" applyFill="1" applyBorder="1" applyAlignment="1">
      <alignment/>
    </xf>
    <xf numFmtId="0" fontId="4" fillId="2" borderId="9" xfId="0" applyFont="1" applyFill="1" applyBorder="1" applyAlignment="1">
      <alignment/>
    </xf>
    <xf numFmtId="49" fontId="6" fillId="2" borderId="10" xfId="0" applyNumberFormat="1" applyFont="1" applyFill="1" applyBorder="1" applyAlignment="1">
      <alignment/>
    </xf>
    <xf numFmtId="0" fontId="7" fillId="0" borderId="11" xfId="0" applyFont="1" applyBorder="1" applyAlignment="1">
      <alignment horizontal="center"/>
    </xf>
    <xf numFmtId="0" fontId="7" fillId="2" borderId="12" xfId="0" applyFont="1" applyFill="1" applyBorder="1" applyAlignment="1">
      <alignment horizontal="center"/>
    </xf>
    <xf numFmtId="178" fontId="2" fillId="2" borderId="13" xfId="0" applyNumberFormat="1" applyFont="1" applyFill="1" applyBorder="1" applyAlignment="1">
      <alignment/>
    </xf>
    <xf numFmtId="177" fontId="2" fillId="2" borderId="12" xfId="0" applyNumberFormat="1" applyFont="1" applyFill="1" applyBorder="1" applyAlignment="1">
      <alignment/>
    </xf>
    <xf numFmtId="178" fontId="4" fillId="2" borderId="12" xfId="0" applyNumberFormat="1" applyFont="1" applyFill="1" applyBorder="1" applyAlignment="1">
      <alignment/>
    </xf>
    <xf numFmtId="178" fontId="8" fillId="0" borderId="11" xfId="0" applyNumberFormat="1" applyFont="1" applyBorder="1" applyAlignment="1">
      <alignment/>
    </xf>
    <xf numFmtId="0" fontId="8" fillId="0" borderId="14" xfId="0" applyNumberFormat="1" applyFont="1" applyBorder="1" applyAlignment="1">
      <alignment/>
    </xf>
    <xf numFmtId="177" fontId="4" fillId="0" borderId="0" xfId="0" applyNumberFormat="1" applyFont="1" applyFill="1" applyBorder="1" applyAlignment="1">
      <alignment horizontal="right"/>
    </xf>
    <xf numFmtId="0" fontId="4" fillId="2" borderId="15" xfId="0" applyFont="1" applyFill="1" applyBorder="1" applyAlignment="1">
      <alignment/>
    </xf>
    <xf numFmtId="177" fontId="5" fillId="2" borderId="16" xfId="0" applyNumberFormat="1" applyFont="1" applyFill="1" applyBorder="1" applyAlignment="1">
      <alignment/>
    </xf>
    <xf numFmtId="177" fontId="4" fillId="2" borderId="0" xfId="0" applyNumberFormat="1" applyFont="1" applyFill="1" applyBorder="1" applyAlignment="1">
      <alignment horizontal="center"/>
    </xf>
    <xf numFmtId="177" fontId="5" fillId="2" borderId="0" xfId="0" applyNumberFormat="1" applyFont="1" applyFill="1" applyBorder="1" applyAlignment="1">
      <alignment/>
    </xf>
    <xf numFmtId="0" fontId="4" fillId="2" borderId="0" xfId="0" applyFont="1" applyFill="1" applyBorder="1" applyAlignment="1">
      <alignment/>
    </xf>
    <xf numFmtId="49" fontId="6" fillId="2" borderId="17" xfId="0" applyNumberFormat="1" applyFont="1" applyFill="1" applyBorder="1" applyAlignment="1">
      <alignment/>
    </xf>
    <xf numFmtId="0" fontId="7" fillId="0" borderId="18" xfId="0" applyFont="1" applyBorder="1" applyAlignment="1">
      <alignment horizontal="center"/>
    </xf>
    <xf numFmtId="0" fontId="7" fillId="2" borderId="0" xfId="0" applyFont="1" applyFill="1" applyBorder="1" applyAlignment="1">
      <alignment horizontal="center"/>
    </xf>
    <xf numFmtId="178" fontId="2" fillId="2" borderId="19" xfId="0" applyNumberFormat="1" applyFont="1" applyFill="1" applyBorder="1" applyAlignment="1">
      <alignment/>
    </xf>
    <xf numFmtId="177" fontId="2" fillId="2" borderId="9" xfId="0" applyNumberFormat="1" applyFont="1" applyFill="1" applyBorder="1" applyAlignment="1">
      <alignment/>
    </xf>
    <xf numFmtId="178" fontId="4" fillId="2" borderId="9" xfId="0" applyNumberFormat="1" applyFont="1" applyFill="1" applyBorder="1" applyAlignment="1">
      <alignment/>
    </xf>
    <xf numFmtId="178" fontId="8" fillId="0" borderId="18" xfId="0" applyNumberFormat="1" applyFont="1" applyBorder="1" applyAlignment="1">
      <alignment/>
    </xf>
    <xf numFmtId="0" fontId="8" fillId="0" borderId="10" xfId="0" applyNumberFormat="1" applyFont="1" applyBorder="1" applyAlignment="1">
      <alignment/>
    </xf>
    <xf numFmtId="177" fontId="5" fillId="2" borderId="8" xfId="0" applyNumberFormat="1" applyFont="1" applyFill="1" applyBorder="1" applyAlignment="1">
      <alignment/>
    </xf>
    <xf numFmtId="177" fontId="4" fillId="2" borderId="9" xfId="0" applyNumberFormat="1" applyFont="1" applyFill="1" applyBorder="1" applyAlignment="1">
      <alignment horizontal="center"/>
    </xf>
    <xf numFmtId="0" fontId="7" fillId="2" borderId="9" xfId="0" applyFont="1" applyFill="1" applyBorder="1" applyAlignment="1">
      <alignment horizontal="center"/>
    </xf>
    <xf numFmtId="178" fontId="2" fillId="2" borderId="20" xfId="0" applyNumberFormat="1" applyFont="1" applyFill="1" applyBorder="1" applyAlignment="1">
      <alignment/>
    </xf>
    <xf numFmtId="177" fontId="5" fillId="2" borderId="16" xfId="0" applyNumberFormat="1" applyFont="1" applyFill="1" applyBorder="1" applyAlignment="1">
      <alignment horizontal="center"/>
    </xf>
    <xf numFmtId="177" fontId="5" fillId="2" borderId="0" xfId="0" applyNumberFormat="1" applyFont="1" applyFill="1" applyBorder="1" applyAlignment="1">
      <alignment horizontal="center"/>
    </xf>
    <xf numFmtId="0" fontId="7" fillId="2" borderId="0" xfId="0" applyFont="1" applyFill="1" applyBorder="1" applyAlignment="1">
      <alignment/>
    </xf>
    <xf numFmtId="0" fontId="4" fillId="2" borderId="21" xfId="0" applyFont="1" applyFill="1" applyBorder="1" applyAlignment="1">
      <alignment/>
    </xf>
    <xf numFmtId="177" fontId="4" fillId="2" borderId="22" xfId="0" applyNumberFormat="1" applyFont="1" applyFill="1" applyBorder="1" applyAlignment="1">
      <alignment/>
    </xf>
    <xf numFmtId="177" fontId="7" fillId="2" borderId="23" xfId="0" applyNumberFormat="1" applyFont="1" applyFill="1" applyBorder="1" applyAlignment="1">
      <alignment horizontal="center"/>
    </xf>
    <xf numFmtId="177" fontId="4" fillId="2" borderId="23" xfId="0" applyNumberFormat="1" applyFont="1" applyFill="1" applyBorder="1" applyAlignment="1">
      <alignment/>
    </xf>
    <xf numFmtId="0" fontId="7" fillId="2" borderId="23" xfId="0" applyFont="1" applyFill="1" applyBorder="1" applyAlignment="1">
      <alignment/>
    </xf>
    <xf numFmtId="49" fontId="6" fillId="2" borderId="24" xfId="0" applyNumberFormat="1" applyFont="1" applyFill="1" applyBorder="1" applyAlignment="1">
      <alignment/>
    </xf>
    <xf numFmtId="0" fontId="4" fillId="2" borderId="25" xfId="0" applyFont="1" applyFill="1" applyBorder="1" applyAlignment="1">
      <alignment/>
    </xf>
    <xf numFmtId="177" fontId="5" fillId="2" borderId="26" xfId="0" applyNumberFormat="1" applyFont="1" applyFill="1" applyBorder="1" applyAlignment="1">
      <alignment/>
    </xf>
    <xf numFmtId="177" fontId="4" fillId="2" borderId="27" xfId="0" applyNumberFormat="1" applyFont="1" applyFill="1" applyBorder="1" applyAlignment="1">
      <alignment horizontal="center"/>
    </xf>
    <xf numFmtId="177" fontId="5" fillId="2" borderId="27" xfId="0" applyNumberFormat="1" applyFont="1" applyFill="1" applyBorder="1" applyAlignment="1">
      <alignment/>
    </xf>
    <xf numFmtId="0" fontId="4" fillId="2" borderId="27" xfId="0" applyFont="1" applyFill="1" applyBorder="1" applyAlignment="1">
      <alignment/>
    </xf>
    <xf numFmtId="49" fontId="6" fillId="2" borderId="28" xfId="0" applyNumberFormat="1" applyFont="1" applyFill="1" applyBorder="1" applyAlignment="1">
      <alignment/>
    </xf>
    <xf numFmtId="0" fontId="4" fillId="2" borderId="29" xfId="0" applyFont="1" applyFill="1" applyBorder="1" applyAlignment="1">
      <alignment/>
    </xf>
    <xf numFmtId="177" fontId="4" fillId="2" borderId="30" xfId="0" applyNumberFormat="1" applyFont="1" applyFill="1" applyBorder="1" applyAlignment="1">
      <alignment horizontal="center"/>
    </xf>
    <xf numFmtId="0" fontId="4" fillId="2" borderId="30" xfId="0" applyFont="1" applyFill="1" applyBorder="1" applyAlignment="1">
      <alignment/>
    </xf>
    <xf numFmtId="49" fontId="6" fillId="2" borderId="31" xfId="0" applyNumberFormat="1" applyFont="1" applyFill="1" applyBorder="1" applyAlignment="1">
      <alignment/>
    </xf>
    <xf numFmtId="177" fontId="5" fillId="2" borderId="22" xfId="0" applyNumberFormat="1" applyFont="1" applyFill="1" applyBorder="1" applyAlignment="1">
      <alignment/>
    </xf>
    <xf numFmtId="177" fontId="4" fillId="2" borderId="23" xfId="0" applyNumberFormat="1" applyFont="1" applyFill="1" applyBorder="1" applyAlignment="1">
      <alignment horizontal="center"/>
    </xf>
    <xf numFmtId="177" fontId="5" fillId="2" borderId="23" xfId="0" applyNumberFormat="1" applyFont="1" applyFill="1" applyBorder="1" applyAlignment="1">
      <alignment/>
    </xf>
    <xf numFmtId="0" fontId="4" fillId="2" borderId="23" xfId="0" applyFont="1" applyFill="1" applyBorder="1" applyAlignment="1">
      <alignment/>
    </xf>
    <xf numFmtId="0" fontId="7" fillId="0" borderId="32" xfId="0" applyFont="1" applyBorder="1" applyAlignment="1">
      <alignment horizontal="center"/>
    </xf>
    <xf numFmtId="0" fontId="7" fillId="2" borderId="33" xfId="0" applyFont="1" applyFill="1" applyBorder="1" applyAlignment="1">
      <alignment horizontal="center"/>
    </xf>
    <xf numFmtId="178" fontId="2" fillId="2" borderId="34" xfId="0" applyNumberFormat="1" applyFont="1" applyFill="1" applyBorder="1" applyAlignment="1">
      <alignment/>
    </xf>
    <xf numFmtId="178" fontId="4" fillId="2" borderId="23" xfId="0" applyNumberFormat="1" applyFont="1" applyFill="1" applyBorder="1" applyAlignment="1">
      <alignment/>
    </xf>
    <xf numFmtId="177" fontId="2" fillId="2" borderId="23" xfId="0" applyNumberFormat="1" applyFont="1" applyFill="1" applyBorder="1" applyAlignment="1">
      <alignment/>
    </xf>
    <xf numFmtId="178" fontId="8" fillId="0" borderId="21" xfId="0" applyNumberFormat="1" applyFont="1" applyBorder="1" applyAlignment="1">
      <alignment/>
    </xf>
    <xf numFmtId="0" fontId="8" fillId="0" borderId="35" xfId="0" applyNumberFormat="1" applyFont="1" applyBorder="1" applyAlignment="1">
      <alignment/>
    </xf>
    <xf numFmtId="0" fontId="0" fillId="0" borderId="0" xfId="0" applyFill="1" applyBorder="1" applyAlignment="1">
      <alignment/>
    </xf>
    <xf numFmtId="176" fontId="0" fillId="0" borderId="0" xfId="0" applyNumberFormat="1" applyAlignment="1">
      <alignment/>
    </xf>
    <xf numFmtId="0" fontId="0" fillId="0" borderId="0" xfId="0" applyAlignment="1">
      <alignment horizontal="right"/>
    </xf>
    <xf numFmtId="177" fontId="9" fillId="2" borderId="36" xfId="0" applyNumberFormat="1" applyFont="1" applyFill="1" applyBorder="1" applyAlignment="1">
      <alignment/>
    </xf>
    <xf numFmtId="177" fontId="9" fillId="2" borderId="16" xfId="0" applyNumberFormat="1" applyFont="1" applyFill="1" applyBorder="1" applyAlignment="1">
      <alignment/>
    </xf>
    <xf numFmtId="177" fontId="9" fillId="2" borderId="8" xfId="0" applyNumberFormat="1" applyFont="1" applyFill="1" applyBorder="1" applyAlignment="1">
      <alignment/>
    </xf>
    <xf numFmtId="177" fontId="9" fillId="2" borderId="3" xfId="0" applyNumberFormat="1" applyFont="1" applyFill="1" applyBorder="1" applyAlignment="1">
      <alignment/>
    </xf>
    <xf numFmtId="177" fontId="9" fillId="2" borderId="0" xfId="0" applyNumberFormat="1" applyFont="1" applyFill="1" applyBorder="1" applyAlignment="1">
      <alignment/>
    </xf>
    <xf numFmtId="177" fontId="9" fillId="2" borderId="9" xfId="0" applyNumberFormat="1" applyFont="1" applyFill="1" applyBorder="1" applyAlignment="1">
      <alignment/>
    </xf>
    <xf numFmtId="177" fontId="9" fillId="2" borderId="37" xfId="0" applyNumberFormat="1" applyFont="1" applyFill="1" applyBorder="1" applyAlignment="1">
      <alignment/>
    </xf>
    <xf numFmtId="177" fontId="9" fillId="2" borderId="30" xfId="0" applyNumberFormat="1" applyFont="1" applyFill="1" applyBorder="1" applyAlignment="1">
      <alignment/>
    </xf>
    <xf numFmtId="177" fontId="2" fillId="2" borderId="12" xfId="0" applyNumberFormat="1" applyFont="1" applyFill="1" applyBorder="1" applyAlignment="1">
      <alignment/>
    </xf>
    <xf numFmtId="177" fontId="2" fillId="2" borderId="9" xfId="0" applyNumberFormat="1" applyFont="1" applyFill="1" applyBorder="1" applyAlignment="1">
      <alignment/>
    </xf>
    <xf numFmtId="177" fontId="2" fillId="2" borderId="33" xfId="0" applyNumberFormat="1" applyFont="1" applyFill="1" applyBorder="1" applyAlignment="1">
      <alignment/>
    </xf>
    <xf numFmtId="49" fontId="6" fillId="0" borderId="0" xfId="0" applyNumberFormat="1" applyFont="1" applyFill="1" applyBorder="1" applyAlignment="1">
      <alignment/>
    </xf>
    <xf numFmtId="0" fontId="10" fillId="0" borderId="0" xfId="0" applyFont="1" applyAlignment="1">
      <alignment/>
    </xf>
    <xf numFmtId="0" fontId="12" fillId="0" borderId="0" xfId="16" applyFont="1" applyAlignment="1">
      <alignment/>
    </xf>
    <xf numFmtId="0" fontId="4" fillId="0" borderId="0" xfId="0" applyFont="1" applyAlignment="1">
      <alignment horizontal="left"/>
    </xf>
    <xf numFmtId="176" fontId="3" fillId="3" borderId="38" xfId="0" applyNumberFormat="1" applyFont="1" applyFill="1" applyBorder="1" applyAlignment="1">
      <alignment/>
    </xf>
    <xf numFmtId="0" fontId="4" fillId="3" borderId="39" xfId="0" applyFont="1" applyFill="1" applyBorder="1" applyAlignment="1">
      <alignment/>
    </xf>
    <xf numFmtId="14" fontId="0" fillId="0" borderId="23" xfId="0" applyNumberFormat="1" applyBorder="1" applyAlignment="1">
      <alignment/>
    </xf>
    <xf numFmtId="20" fontId="0" fillId="0" borderId="23" xfId="0" applyNumberFormat="1" applyBorder="1" applyAlignment="1">
      <alignment/>
    </xf>
    <xf numFmtId="0" fontId="7" fillId="0" borderId="23" xfId="0" applyFont="1" applyBorder="1" applyAlignment="1">
      <alignment/>
    </xf>
    <xf numFmtId="14" fontId="4" fillId="0" borderId="0" xfId="0" applyNumberFormat="1" applyFont="1" applyAlignment="1">
      <alignment/>
    </xf>
    <xf numFmtId="0" fontId="4" fillId="0" borderId="0" xfId="0" applyFont="1" applyAlignment="1">
      <alignment/>
    </xf>
    <xf numFmtId="0" fontId="7" fillId="0" borderId="0" xfId="0" applyFont="1" applyFill="1" applyBorder="1" applyAlignment="1">
      <alignment horizontal="right"/>
    </xf>
    <xf numFmtId="0" fontId="4" fillId="0" borderId="0" xfId="0" applyFont="1" applyAlignment="1">
      <alignment horizontal="right"/>
    </xf>
    <xf numFmtId="0" fontId="7" fillId="0" borderId="0" xfId="0" applyFont="1" applyAlignment="1">
      <alignment horizontal="right"/>
    </xf>
    <xf numFmtId="14" fontId="4" fillId="0" borderId="0" xfId="0" applyNumberFormat="1" applyFont="1" applyAlignment="1">
      <alignment horizontal="right"/>
    </xf>
    <xf numFmtId="0" fontId="7" fillId="0" borderId="40" xfId="0" applyFont="1" applyBorder="1" applyAlignment="1">
      <alignment horizontal="center"/>
    </xf>
    <xf numFmtId="0" fontId="7" fillId="0" borderId="41" xfId="0" applyFont="1" applyBorder="1" applyAlignment="1">
      <alignment/>
    </xf>
    <xf numFmtId="0" fontId="7" fillId="0" borderId="38" xfId="0" applyFont="1" applyBorder="1" applyAlignment="1">
      <alignment horizontal="center"/>
    </xf>
    <xf numFmtId="0" fontId="7" fillId="0" borderId="39" xfId="0" applyFont="1" applyBorder="1" applyAlignment="1">
      <alignment horizontal="center"/>
    </xf>
    <xf numFmtId="14" fontId="0" fillId="0" borderId="0" xfId="0" applyNumberFormat="1" applyAlignment="1">
      <alignmen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harunosuke@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38"/>
  <sheetViews>
    <sheetView tabSelected="1" workbookViewId="0" topLeftCell="A1">
      <selection activeCell="G40" sqref="G40"/>
    </sheetView>
  </sheetViews>
  <sheetFormatPr defaultColWidth="9.00390625" defaultRowHeight="13.5"/>
  <cols>
    <col min="1" max="1" width="0.6171875" style="0" customWidth="1"/>
    <col min="2" max="2" width="13.25390625" style="0" customWidth="1"/>
    <col min="3" max="3" width="8.125" style="0" customWidth="1"/>
    <col min="4" max="4" width="2.625" style="0" customWidth="1"/>
    <col min="5" max="5" width="7.625" style="0" customWidth="1"/>
    <col min="6" max="6" width="4.125" style="0" customWidth="1"/>
    <col min="7" max="7" width="22.625" style="0" customWidth="1"/>
    <col min="8" max="8" width="1.625" style="0" customWidth="1"/>
    <col min="9" max="9" width="4.125" style="0" customWidth="1"/>
    <col min="10" max="10" width="2.125" style="0" customWidth="1"/>
    <col min="11" max="11" width="5.625" style="0" customWidth="1"/>
    <col min="12" max="12" width="5.125" style="0" customWidth="1"/>
    <col min="13" max="13" width="2.125" style="0" customWidth="1"/>
    <col min="14" max="14" width="5.125" style="0" customWidth="1"/>
    <col min="15" max="15" width="12.125" style="0" customWidth="1"/>
    <col min="16" max="16" width="9.75390625" style="0" customWidth="1"/>
  </cols>
  <sheetData>
    <row r="1" ht="4.5" customHeight="1" thickBot="1">
      <c r="D1" s="1"/>
    </row>
    <row r="2" spans="2:18" ht="15" thickBot="1">
      <c r="B2" s="2" t="s">
        <v>0</v>
      </c>
      <c r="C2" s="93">
        <v>158</v>
      </c>
      <c r="D2" s="94" t="s">
        <v>1</v>
      </c>
      <c r="G2" s="8"/>
      <c r="L2" s="97"/>
      <c r="M2" s="97"/>
      <c r="N2" s="95"/>
      <c r="O2" s="96"/>
      <c r="P2" s="96"/>
      <c r="Q2" s="3"/>
      <c r="R2" s="3"/>
    </row>
    <row r="3" spans="2:18" ht="14.25" thickBot="1">
      <c r="B3" s="4" t="s">
        <v>2</v>
      </c>
      <c r="C3" s="78">
        <f>Height*0.515</f>
        <v>81.37</v>
      </c>
      <c r="D3" s="5" t="s">
        <v>3</v>
      </c>
      <c r="E3" s="81">
        <f>Height*0.53</f>
        <v>83.74000000000001</v>
      </c>
      <c r="F3" s="6" t="s">
        <v>4</v>
      </c>
      <c r="G3" s="7" t="s">
        <v>5</v>
      </c>
      <c r="H3" s="8"/>
      <c r="I3" s="9" t="s">
        <v>6</v>
      </c>
      <c r="J3" s="104" t="s">
        <v>7</v>
      </c>
      <c r="K3" s="105"/>
      <c r="L3" s="106" t="s">
        <v>8</v>
      </c>
      <c r="M3" s="106"/>
      <c r="N3" s="107"/>
      <c r="O3" s="10" t="s">
        <v>52</v>
      </c>
      <c r="P3" s="11" t="s">
        <v>9</v>
      </c>
      <c r="Q3" s="12" t="s">
        <v>53</v>
      </c>
      <c r="R3" s="13"/>
    </row>
    <row r="4" spans="2:18" ht="13.5">
      <c r="B4" s="14" t="s">
        <v>10</v>
      </c>
      <c r="C4" s="15"/>
      <c r="D4" s="16"/>
      <c r="E4" s="17">
        <f>Height*0.432</f>
        <v>68.256</v>
      </c>
      <c r="F4" s="18" t="s">
        <v>11</v>
      </c>
      <c r="G4" s="19" t="s">
        <v>12</v>
      </c>
      <c r="H4" s="8"/>
      <c r="I4" s="20" t="s">
        <v>13</v>
      </c>
      <c r="J4" s="21" t="s">
        <v>14</v>
      </c>
      <c r="K4" s="22">
        <f>Height*0.432+5+1.25</f>
        <v>74.506</v>
      </c>
      <c r="L4" s="86">
        <f>C14-INDEX(I4:P16,MATCH(C7,I4:I16,1),8)/1000+17.8/1000</f>
        <v>47.169399999999996</v>
      </c>
      <c r="M4" s="24" t="s">
        <v>14</v>
      </c>
      <c r="N4" s="23">
        <f>E14-INDEX(I4:P16,MATCH(E7,I4:I16,1),8)/1000+17.8/1000</f>
        <v>48.217600000000004</v>
      </c>
      <c r="O4" s="25">
        <v>5</v>
      </c>
      <c r="P4" s="26">
        <v>17.8</v>
      </c>
      <c r="Q4" s="3"/>
      <c r="R4" s="27"/>
    </row>
    <row r="5" spans="2:18" ht="13.5">
      <c r="B5" s="28" t="s">
        <v>15</v>
      </c>
      <c r="C5" s="79">
        <f>Height*0.37</f>
        <v>58.46</v>
      </c>
      <c r="D5" s="30" t="s">
        <v>3</v>
      </c>
      <c r="E5" s="82">
        <f>Height*0.39</f>
        <v>61.620000000000005</v>
      </c>
      <c r="F5" s="32" t="s">
        <v>4</v>
      </c>
      <c r="G5" s="33" t="s">
        <v>16</v>
      </c>
      <c r="H5" s="8"/>
      <c r="I5" s="34" t="s">
        <v>17</v>
      </c>
      <c r="J5" s="35" t="s">
        <v>14</v>
      </c>
      <c r="K5" s="36">
        <f>Height*0.432+7.5+1.25</f>
        <v>77.006</v>
      </c>
      <c r="L5" s="87">
        <f>C14-INDEX(I4:P16,MATCH(C7,I4:I16,1),8)/1000+60/1000</f>
        <v>47.2116</v>
      </c>
      <c r="M5" s="38" t="s">
        <v>14</v>
      </c>
      <c r="N5" s="37">
        <f>E14-INDEX(I4:P16,MATCH(E7,I4:I16,1),8)/1000+60/1000</f>
        <v>48.259800000000006</v>
      </c>
      <c r="O5" s="39">
        <v>7.5</v>
      </c>
      <c r="P5" s="40">
        <v>60</v>
      </c>
      <c r="Q5" s="3"/>
      <c r="R5" s="27"/>
    </row>
    <row r="6" spans="2:18" ht="13.5">
      <c r="B6" s="14" t="s">
        <v>18</v>
      </c>
      <c r="C6" s="80">
        <f>Height*0.53</f>
        <v>83.74000000000001</v>
      </c>
      <c r="D6" s="42" t="s">
        <v>3</v>
      </c>
      <c r="E6" s="83">
        <f>Height*0.542</f>
        <v>85.63600000000001</v>
      </c>
      <c r="F6" s="18" t="s">
        <v>4</v>
      </c>
      <c r="G6" s="19" t="s">
        <v>19</v>
      </c>
      <c r="H6" s="8"/>
      <c r="I6" s="34" t="s">
        <v>20</v>
      </c>
      <c r="J6" s="43" t="s">
        <v>14</v>
      </c>
      <c r="K6" s="44">
        <f>Height*0.432+10+1.25</f>
        <v>79.506</v>
      </c>
      <c r="L6" s="87">
        <f>C14-INDEX(I4:P16,MATCH(C7,I4:I16,1),8)/1000+142/1000</f>
        <v>47.2936</v>
      </c>
      <c r="M6" s="38" t="s">
        <v>14</v>
      </c>
      <c r="N6" s="37">
        <f>E14-INDEX(I4:P16,MATCH(E7,I4:I16,1),8)/1000+142/1000</f>
        <v>48.341800000000006</v>
      </c>
      <c r="O6" s="39">
        <v>10</v>
      </c>
      <c r="P6" s="40">
        <v>142</v>
      </c>
      <c r="Q6" s="3"/>
      <c r="R6" s="27"/>
    </row>
    <row r="7" spans="2:18" ht="13.5">
      <c r="B7" s="28" t="s">
        <v>21</v>
      </c>
      <c r="C7" s="45" t="str">
        <f>INDEX(I4:P16,MATCH(C8+1.25,O4:O16,1),1)</f>
        <v>B</v>
      </c>
      <c r="D7" s="30" t="s">
        <v>3</v>
      </c>
      <c r="E7" s="46" t="str">
        <f>INDEX(I4:P16,MATCH(E8+1.25,O4:O16,1),1)</f>
        <v>C</v>
      </c>
      <c r="F7" s="47" t="s">
        <v>22</v>
      </c>
      <c r="G7" s="33"/>
      <c r="H7" s="8"/>
      <c r="I7" s="34" t="s">
        <v>23</v>
      </c>
      <c r="J7" s="35" t="s">
        <v>14</v>
      </c>
      <c r="K7" s="36">
        <f>Height*0.432+12.5+1.25</f>
        <v>82.006</v>
      </c>
      <c r="L7" s="87">
        <f>C14-INDEX(I4:P16,MATCH(C7,I4:I16,1),8)/1000+280/1000</f>
        <v>47.431599999999996</v>
      </c>
      <c r="M7" s="38" t="s">
        <v>14</v>
      </c>
      <c r="N7" s="37">
        <f>E14-INDEX(I4:P16,MATCH(E7,I4:I16,1),8)/1000+280/1000</f>
        <v>48.479800000000004</v>
      </c>
      <c r="O7" s="39">
        <v>12.5</v>
      </c>
      <c r="P7" s="40">
        <v>280</v>
      </c>
      <c r="Q7" s="3"/>
      <c r="R7" s="27"/>
    </row>
    <row r="8" spans="2:18" ht="14.25" thickBot="1">
      <c r="B8" s="48"/>
      <c r="C8" s="49">
        <f>Height*0.515-Height*0.432</f>
        <v>13.114000000000004</v>
      </c>
      <c r="D8" s="50" t="s">
        <v>3</v>
      </c>
      <c r="E8" s="51">
        <f>Height*0.53-Height*0.432</f>
        <v>15.484000000000009</v>
      </c>
      <c r="F8" s="52" t="s">
        <v>4</v>
      </c>
      <c r="G8" s="53" t="s">
        <v>24</v>
      </c>
      <c r="H8" s="8"/>
      <c r="I8" s="34" t="s">
        <v>25</v>
      </c>
      <c r="J8" s="43" t="s">
        <v>14</v>
      </c>
      <c r="K8" s="44">
        <f>Height*0.432+15+1.25</f>
        <v>84.506</v>
      </c>
      <c r="L8" s="87">
        <f>C14-INDEX(I4:P16,MATCH(C7,I4:I16,1),8)/1000+480/1000</f>
        <v>47.63159999999999</v>
      </c>
      <c r="M8" s="38" t="s">
        <v>14</v>
      </c>
      <c r="N8" s="37">
        <f>E14-INDEX(I4:P16,MATCH(E7,I4:I16,1),8)/1000+480/1000</f>
        <v>48.6798</v>
      </c>
      <c r="O8" s="39">
        <v>15</v>
      </c>
      <c r="P8" s="40">
        <v>480</v>
      </c>
      <c r="Q8" s="3"/>
      <c r="R8" s="27"/>
    </row>
    <row r="9" spans="2:18" ht="13.5">
      <c r="B9" s="28" t="s">
        <v>26</v>
      </c>
      <c r="C9" s="29">
        <f>Height*0.145</f>
        <v>22.91</v>
      </c>
      <c r="D9" s="30" t="s">
        <v>3</v>
      </c>
      <c r="E9" s="31">
        <f>Height*0.16</f>
        <v>25.28</v>
      </c>
      <c r="F9" s="32" t="s">
        <v>4</v>
      </c>
      <c r="G9" s="33" t="s">
        <v>27</v>
      </c>
      <c r="H9" s="8"/>
      <c r="I9" s="34" t="s">
        <v>28</v>
      </c>
      <c r="J9" s="35" t="s">
        <v>14</v>
      </c>
      <c r="K9" s="36">
        <f>Height*0.432+17.5+1.25</f>
        <v>87.006</v>
      </c>
      <c r="L9" s="87">
        <f>C14-INDEX(I4:P16,MATCH(C7,I4:I16,1),8)/1000+764/1000</f>
        <v>47.9156</v>
      </c>
      <c r="M9" s="38" t="s">
        <v>14</v>
      </c>
      <c r="N9" s="37">
        <f>E14-INDEX(I4:P16,MATCH(E7,I4:I16,1),8)/1000+764/1000</f>
        <v>48.963800000000006</v>
      </c>
      <c r="O9" s="39">
        <v>17.5</v>
      </c>
      <c r="P9" s="40">
        <v>764</v>
      </c>
      <c r="Q9" s="3"/>
      <c r="R9" s="27"/>
    </row>
    <row r="10" spans="2:18" ht="13.5">
      <c r="B10" s="54" t="s">
        <v>29</v>
      </c>
      <c r="C10" s="55">
        <f>Height*0.29</f>
        <v>45.82</v>
      </c>
      <c r="D10" s="56" t="s">
        <v>3</v>
      </c>
      <c r="E10" s="57">
        <f>Height*0.31</f>
        <v>48.98</v>
      </c>
      <c r="F10" s="58" t="s">
        <v>4</v>
      </c>
      <c r="G10" s="59" t="s">
        <v>30</v>
      </c>
      <c r="H10" s="8"/>
      <c r="I10" s="34" t="s">
        <v>31</v>
      </c>
      <c r="J10" s="43" t="s">
        <v>14</v>
      </c>
      <c r="K10" s="44">
        <f>Height*0.432+20+1.25</f>
        <v>89.506</v>
      </c>
      <c r="L10" s="87">
        <f>C14-INDEX(I4:P16,MATCH(C7,I4:I16,1),8)/1000+1140/1000</f>
        <v>48.291599999999995</v>
      </c>
      <c r="M10" s="38" t="s">
        <v>14</v>
      </c>
      <c r="N10" s="37">
        <f>E14-INDEX(I4:P16,MATCH(E7,I4:I16,1),8)/1000+1140/1000</f>
        <v>49.339800000000004</v>
      </c>
      <c r="O10" s="39">
        <v>20</v>
      </c>
      <c r="P10" s="40">
        <v>1140</v>
      </c>
      <c r="Q10" s="3"/>
      <c r="R10" s="27"/>
    </row>
    <row r="11" spans="2:18" ht="13.5">
      <c r="B11" s="14" t="s">
        <v>32</v>
      </c>
      <c r="C11" s="41">
        <f>Height*0.2</f>
        <v>31.6</v>
      </c>
      <c r="D11" s="42" t="s">
        <v>3</v>
      </c>
      <c r="E11" s="17">
        <f>Height*0.21</f>
        <v>33.18</v>
      </c>
      <c r="F11" s="18" t="s">
        <v>4</v>
      </c>
      <c r="G11" s="19" t="s">
        <v>33</v>
      </c>
      <c r="H11" s="8"/>
      <c r="I11" s="34" t="s">
        <v>34</v>
      </c>
      <c r="J11" s="35" t="s">
        <v>14</v>
      </c>
      <c r="K11" s="36">
        <f>Height*0.432+22.5+1.25</f>
        <v>92.006</v>
      </c>
      <c r="L11" s="87">
        <f>C14-INDEX(I4:P16,MATCH(C7,I4:I16,1),8)/1000+1620/1000</f>
        <v>48.77159999999999</v>
      </c>
      <c r="M11" s="38" t="s">
        <v>14</v>
      </c>
      <c r="N11" s="37">
        <f>E14-INDEX(I4:P16,MATCH(E7,I4:I16,1),8)/1000+1620/1000</f>
        <v>49.8198</v>
      </c>
      <c r="O11" s="39">
        <v>22.5</v>
      </c>
      <c r="P11" s="40">
        <v>1620</v>
      </c>
      <c r="Q11" s="3"/>
      <c r="R11" s="27"/>
    </row>
    <row r="12" spans="2:18" ht="13.5">
      <c r="B12" s="28" t="s">
        <v>35</v>
      </c>
      <c r="C12" s="29"/>
      <c r="D12" s="30"/>
      <c r="E12" s="31">
        <f>Height*0.12</f>
        <v>18.96</v>
      </c>
      <c r="F12" s="32" t="s">
        <v>11</v>
      </c>
      <c r="G12" s="33" t="s">
        <v>36</v>
      </c>
      <c r="H12" s="8"/>
      <c r="I12" s="34" t="s">
        <v>37</v>
      </c>
      <c r="J12" s="43" t="s">
        <v>14</v>
      </c>
      <c r="K12" s="44">
        <f>Height*0.432+25+1.25</f>
        <v>94.506</v>
      </c>
      <c r="L12" s="87">
        <f>C14-INDEX(I4:P16,MATCH(C7,I4:I16,1),8)/1000+2200/1000</f>
        <v>49.3516</v>
      </c>
      <c r="M12" s="38" t="s">
        <v>14</v>
      </c>
      <c r="N12" s="37">
        <f>E14-INDEX(I4:P16,MATCH(E7,I4:I16,1),8)/1000+2200/1000</f>
        <v>50.399800000000006</v>
      </c>
      <c r="O12" s="39">
        <v>25</v>
      </c>
      <c r="P12" s="40">
        <v>2200</v>
      </c>
      <c r="Q12" s="3"/>
      <c r="R12" s="27"/>
    </row>
    <row r="13" spans="2:18" ht="14.25" thickBot="1">
      <c r="B13" s="28" t="s">
        <v>38</v>
      </c>
      <c r="C13" s="29">
        <f>hukurahagi_1*0.59</f>
        <v>18.644</v>
      </c>
      <c r="D13" s="30" t="s">
        <v>3</v>
      </c>
      <c r="E13" s="31">
        <f>hukurahagi_2*0.59</f>
        <v>19.5762</v>
      </c>
      <c r="F13" s="32" t="s">
        <v>4</v>
      </c>
      <c r="G13" s="33" t="s">
        <v>39</v>
      </c>
      <c r="H13" s="8"/>
      <c r="I13" s="34" t="s">
        <v>40</v>
      </c>
      <c r="J13" s="35" t="s">
        <v>14</v>
      </c>
      <c r="K13" s="36">
        <f>Height*0.432+27.5+1.25</f>
        <v>97.006</v>
      </c>
      <c r="L13" s="87">
        <f>C14-INDEX(I4:P16,MATCH(C7,I4:I16,1),8)/1000+3000/1000</f>
        <v>50.151599999999995</v>
      </c>
      <c r="M13" s="38" t="s">
        <v>14</v>
      </c>
      <c r="N13" s="37">
        <f>E14-INDEX(I4:P16,MATCH(E7,I4:I16,1),8)/1000+3000/1000</f>
        <v>51.1998</v>
      </c>
      <c r="O13" s="39">
        <v>27.5</v>
      </c>
      <c r="P13" s="40">
        <v>3000</v>
      </c>
      <c r="Q13" s="3"/>
      <c r="R13" s="27"/>
    </row>
    <row r="14" spans="2:18" ht="13.5">
      <c r="B14" s="60" t="s">
        <v>41</v>
      </c>
      <c r="C14" s="84">
        <f>Height/100*Height/100*19</f>
        <v>47.431599999999996</v>
      </c>
      <c r="D14" s="61" t="s">
        <v>3</v>
      </c>
      <c r="E14" s="85">
        <f>Height/100*Height/100*19.5</f>
        <v>48.6798</v>
      </c>
      <c r="F14" s="62" t="s">
        <v>42</v>
      </c>
      <c r="G14" s="63" t="s">
        <v>43</v>
      </c>
      <c r="H14" s="8"/>
      <c r="I14" s="34" t="s">
        <v>44</v>
      </c>
      <c r="J14" s="43" t="s">
        <v>14</v>
      </c>
      <c r="K14" s="44">
        <f>Height*0.432+30+1.25</f>
        <v>99.506</v>
      </c>
      <c r="L14" s="87">
        <f>C14-INDEX(I4:P16,MATCH(C7,I4:I16,1),8)/1000+3800/1000</f>
        <v>50.95159999999999</v>
      </c>
      <c r="M14" s="38" t="s">
        <v>14</v>
      </c>
      <c r="N14" s="37">
        <f>E14-INDEX(I4:P16,MATCH(E7,I4:I16,1),8)/1000+3800/1000</f>
        <v>51.9998</v>
      </c>
      <c r="O14" s="39">
        <v>30</v>
      </c>
      <c r="P14" s="40">
        <v>3800</v>
      </c>
      <c r="Q14" s="3"/>
      <c r="R14" s="27"/>
    </row>
    <row r="15" spans="2:18" ht="13.5">
      <c r="B15" s="14" t="s">
        <v>45</v>
      </c>
      <c r="C15" s="41"/>
      <c r="D15" s="42"/>
      <c r="E15" s="17">
        <f>Height/100*Height/100*22</f>
        <v>54.9208</v>
      </c>
      <c r="F15" s="18" t="s">
        <v>46</v>
      </c>
      <c r="G15" s="19" t="s">
        <v>47</v>
      </c>
      <c r="H15" s="8"/>
      <c r="I15" s="34" t="s">
        <v>48</v>
      </c>
      <c r="J15" s="43" t="s">
        <v>14</v>
      </c>
      <c r="K15" s="44">
        <f>Height*0.432+32.5+1.25</f>
        <v>102.006</v>
      </c>
      <c r="L15" s="87">
        <f>C14-INDEX(I4:P16,MATCH(C7,I4:I16,1),8)/1000+5000/1000</f>
        <v>52.151599999999995</v>
      </c>
      <c r="M15" s="38" t="s">
        <v>14</v>
      </c>
      <c r="N15" s="37">
        <f>E14-INDEX(I4:P16,MATCH(E7,I4:I16,1),8)/1000+5000/1000</f>
        <v>53.1998</v>
      </c>
      <c r="O15" s="39">
        <v>32.5</v>
      </c>
      <c r="P15" s="40">
        <v>5000</v>
      </c>
      <c r="Q15" s="3"/>
      <c r="R15" s="27"/>
    </row>
    <row r="16" spans="2:18" ht="14.25" thickBot="1">
      <c r="B16" s="48" t="s">
        <v>49</v>
      </c>
      <c r="C16" s="64"/>
      <c r="D16" s="65"/>
      <c r="E16" s="66">
        <f>Height/100*Height/100*Height/100*13</f>
        <v>51.276056</v>
      </c>
      <c r="F16" s="67" t="s">
        <v>46</v>
      </c>
      <c r="G16" s="53" t="s">
        <v>50</v>
      </c>
      <c r="H16" s="8"/>
      <c r="I16" s="68" t="s">
        <v>51</v>
      </c>
      <c r="J16" s="69" t="s">
        <v>14</v>
      </c>
      <c r="K16" s="70">
        <f>Height*0.432+35+1.25</f>
        <v>104.506</v>
      </c>
      <c r="L16" s="88">
        <f>C14-INDEX(I4:P16,MATCH(C7,I4:I16,1),8)/1000+6200/1000</f>
        <v>53.3516</v>
      </c>
      <c r="M16" s="71" t="s">
        <v>14</v>
      </c>
      <c r="N16" s="72">
        <f>E14-INDEX(I4:P16,MATCH(E7,I4:I16,1),8)/1000+6200/1000</f>
        <v>54.399800000000006</v>
      </c>
      <c r="O16" s="73">
        <v>35</v>
      </c>
      <c r="P16" s="74">
        <v>6200</v>
      </c>
      <c r="Q16" s="3"/>
      <c r="R16" s="27"/>
    </row>
    <row r="17" spans="4:18" ht="13.5">
      <c r="D17" s="1"/>
      <c r="Q17" s="3"/>
      <c r="R17" s="75"/>
    </row>
    <row r="18" spans="2:16" ht="13.5">
      <c r="B18" s="92" t="s">
        <v>64</v>
      </c>
      <c r="C18" s="76"/>
      <c r="G18" s="89"/>
      <c r="P18" s="100" t="s">
        <v>73</v>
      </c>
    </row>
    <row r="19" spans="2:16" ht="13.5">
      <c r="B19" s="92" t="s">
        <v>65</v>
      </c>
      <c r="C19" s="76"/>
      <c r="G19" s="89"/>
      <c r="J19" s="8"/>
      <c r="K19" s="98"/>
      <c r="L19" s="99"/>
      <c r="P19" s="101" t="s">
        <v>63</v>
      </c>
    </row>
    <row r="20" spans="2:7" ht="13.5">
      <c r="B20" s="77"/>
      <c r="C20" s="76"/>
      <c r="G20" s="89"/>
    </row>
    <row r="21" spans="2:16" ht="13.5">
      <c r="B21" s="90" t="s">
        <v>57</v>
      </c>
      <c r="P21" s="102" t="s">
        <v>67</v>
      </c>
    </row>
    <row r="22" spans="2:16" ht="13.5">
      <c r="B22" s="8" t="s">
        <v>66</v>
      </c>
      <c r="P22" s="103">
        <v>41387</v>
      </c>
    </row>
    <row r="23" ht="13.5">
      <c r="B23" s="8" t="s">
        <v>55</v>
      </c>
    </row>
    <row r="24" ht="13.5">
      <c r="B24" s="8" t="s">
        <v>54</v>
      </c>
    </row>
    <row r="26" ht="13.5">
      <c r="B26" s="90" t="s">
        <v>56</v>
      </c>
    </row>
    <row r="27" ht="13.5">
      <c r="B27" s="90" t="s">
        <v>60</v>
      </c>
    </row>
    <row r="28" spans="2:7" ht="13.5">
      <c r="B28" s="8" t="s">
        <v>61</v>
      </c>
      <c r="C28" s="8" t="s">
        <v>58</v>
      </c>
      <c r="D28" s="8"/>
      <c r="E28" s="8"/>
      <c r="F28" s="8"/>
      <c r="G28" s="8"/>
    </row>
    <row r="29" spans="2:7" ht="13.5">
      <c r="B29" s="8" t="s">
        <v>62</v>
      </c>
      <c r="C29" s="91" t="s">
        <v>59</v>
      </c>
      <c r="D29" s="8"/>
      <c r="E29" s="8"/>
      <c r="F29" s="8"/>
      <c r="G29" s="8"/>
    </row>
    <row r="36" ht="13.5">
      <c r="B36" t="s">
        <v>68</v>
      </c>
    </row>
    <row r="37" spans="2:5" ht="13.5">
      <c r="B37" s="108">
        <v>41387</v>
      </c>
      <c r="C37" t="s">
        <v>70</v>
      </c>
      <c r="E37" t="s">
        <v>69</v>
      </c>
    </row>
    <row r="38" spans="2:5" ht="13.5">
      <c r="B38" s="108">
        <v>41387</v>
      </c>
      <c r="C38" t="s">
        <v>71</v>
      </c>
      <c r="E38" t="s">
        <v>72</v>
      </c>
    </row>
  </sheetData>
  <mergeCells count="2">
    <mergeCell ref="J3:K3"/>
    <mergeCell ref="L3:N3"/>
  </mergeCells>
  <hyperlinks>
    <hyperlink ref="C29" r:id="rId1" display="koharunosuke@gmail.com"/>
  </hyperlinks>
  <printOptions/>
  <pageMargins left="0.75" right="0.75" top="1" bottom="1"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2013-04-22T12:28:49Z</dcterms:created>
  <dcterms:modified xsi:type="dcterms:W3CDTF">2013-04-22T19:37:43Z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